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<sst xmlns="http://schemas.openxmlformats.org/spreadsheetml/2006/main" count="178" uniqueCount="140">
  <si>
    <t>Year 1</t>
  </si>
  <si>
    <t>Year 2</t>
  </si>
  <si>
    <t>Year 3</t>
  </si>
  <si>
    <t>Route</t>
  </si>
  <si>
    <t>Amount (1000 tons)</t>
  </si>
  <si>
    <t>Cost (mln. $ / 1000 tons)</t>
  </si>
  <si>
    <t>3-year cost</t>
  </si>
  <si>
    <t>Result</t>
  </si>
  <si>
    <t>x1,4</t>
  </si>
  <si>
    <t>Afyon - Istanbul</t>
  </si>
  <si>
    <t xml:space="preserve">Total present value of cost = </t>
  </si>
  <si>
    <t xml:space="preserve"> mln. $</t>
  </si>
  <si>
    <t>x1,5</t>
  </si>
  <si>
    <t>Afyon - Ankara</t>
  </si>
  <si>
    <t xml:space="preserve">Present value of transportation cost (year 1-20) = </t>
  </si>
  <si>
    <t>x1,6</t>
  </si>
  <si>
    <t>Afyon - Izmir</t>
  </si>
  <si>
    <t xml:space="preserve">Present value of expansion cost = </t>
  </si>
  <si>
    <t>x1,7</t>
  </si>
  <si>
    <t>Afyon - Sakarya</t>
  </si>
  <si>
    <t>x1,8</t>
  </si>
  <si>
    <t>Afyon - Adana</t>
  </si>
  <si>
    <t>x2,4</t>
  </si>
  <si>
    <t>Konya - Istanbul</t>
  </si>
  <si>
    <t>Center</t>
  </si>
  <si>
    <t>Supply</t>
  </si>
  <si>
    <t>Capacity</t>
  </si>
  <si>
    <t>Demand</t>
  </si>
  <si>
    <t>x2,5</t>
  </si>
  <si>
    <t>Konya - Ankara</t>
  </si>
  <si>
    <t>Afyon</t>
  </si>
  <si>
    <t>x2,6</t>
  </si>
  <si>
    <t>Konya - Izmir</t>
  </si>
  <si>
    <t>Konya</t>
  </si>
  <si>
    <t>x2,7</t>
  </si>
  <si>
    <t>Konya - Sakarya</t>
  </si>
  <si>
    <t>Import</t>
  </si>
  <si>
    <t>x2,8</t>
  </si>
  <si>
    <t>Konya - Adana</t>
  </si>
  <si>
    <t>Istanbul</t>
  </si>
  <si>
    <t>x3,4</t>
  </si>
  <si>
    <t>Import - Istanbul</t>
  </si>
  <si>
    <t>Ankara</t>
  </si>
  <si>
    <t>x3,5</t>
  </si>
  <si>
    <t>Import - Ankara</t>
  </si>
  <si>
    <t>Izmir</t>
  </si>
  <si>
    <t>x3,6</t>
  </si>
  <si>
    <t>Import - Izmir</t>
  </si>
  <si>
    <t>Sakarya</t>
  </si>
  <si>
    <t>x3,7</t>
  </si>
  <si>
    <t>Import - Sakarya</t>
  </si>
  <si>
    <t>Adana</t>
  </si>
  <si>
    <t>x3,8</t>
  </si>
  <si>
    <t>Import - Adana</t>
  </si>
  <si>
    <t>Amount (mln. liters)</t>
  </si>
  <si>
    <t>Cost (mln. $ / mln. litres)</t>
  </si>
  <si>
    <t>x4,9</t>
  </si>
  <si>
    <t>Istanbul - Istanbul</t>
  </si>
  <si>
    <t>Malt yield</t>
  </si>
  <si>
    <t>Payment =</t>
  </si>
  <si>
    <t>years</t>
  </si>
  <si>
    <t>x4,10</t>
  </si>
  <si>
    <t>Istanbul - Izmir</t>
  </si>
  <si>
    <t>Domestic</t>
  </si>
  <si>
    <t>Rate =</t>
  </si>
  <si>
    <t>x4,11</t>
  </si>
  <si>
    <t>Istanbul - Antalya</t>
  </si>
  <si>
    <t>Rate1 =</t>
  </si>
  <si>
    <t>x4,12</t>
  </si>
  <si>
    <t>Istanbul - Bursa</t>
  </si>
  <si>
    <t>x4,13</t>
  </si>
  <si>
    <t>Istanbul - Kayseri</t>
  </si>
  <si>
    <t>x4,14</t>
  </si>
  <si>
    <t>Istanbul - Export</t>
  </si>
  <si>
    <t>Demand/supply (mln. litres)</t>
  </si>
  <si>
    <t>x5,9</t>
  </si>
  <si>
    <t>Ankara - Istanbul</t>
  </si>
  <si>
    <t>x5,10</t>
  </si>
  <si>
    <t>Ankara - Izmir</t>
  </si>
  <si>
    <t>x5,11</t>
  </si>
  <si>
    <t>Ankara - Antalya</t>
  </si>
  <si>
    <t>Antalya</t>
  </si>
  <si>
    <t>x5,12</t>
  </si>
  <si>
    <t>Ankara - Bursa</t>
  </si>
  <si>
    <t>Bursa</t>
  </si>
  <si>
    <t>x5,13</t>
  </si>
  <si>
    <t>Ankara - Kayseri</t>
  </si>
  <si>
    <t>Kayseri</t>
  </si>
  <si>
    <t>x5,14</t>
  </si>
  <si>
    <t>Ankara - Export</t>
  </si>
  <si>
    <t>Export (Izmir)</t>
  </si>
  <si>
    <t>x6,9</t>
  </si>
  <si>
    <t>Izmir - Istanbul</t>
  </si>
  <si>
    <t>Expansion</t>
  </si>
  <si>
    <t>x6,10</t>
  </si>
  <si>
    <t>Izmir - Izmir</t>
  </si>
  <si>
    <t>Cost, mln. $</t>
  </si>
  <si>
    <t>x6,11</t>
  </si>
  <si>
    <t>Izmir - Antalya</t>
  </si>
  <si>
    <t>Open</t>
  </si>
  <si>
    <t>Exp.</t>
  </si>
  <si>
    <t>Expand</t>
  </si>
  <si>
    <t>x6,12</t>
  </si>
  <si>
    <t>Izmir - Bursa</t>
  </si>
  <si>
    <t>x6,13</t>
  </si>
  <si>
    <t>Izmir- Kayseri</t>
  </si>
  <si>
    <t>x6,14</t>
  </si>
  <si>
    <t>Izmir - Export</t>
  </si>
  <si>
    <t>x7,9</t>
  </si>
  <si>
    <t>Sakarya- Istanbul</t>
  </si>
  <si>
    <t>x7,10</t>
  </si>
  <si>
    <t>Sakarya - Izmir</t>
  </si>
  <si>
    <t>x7,11</t>
  </si>
  <si>
    <t>Sakarya - Antalya</t>
  </si>
  <si>
    <t>Total</t>
  </si>
  <si>
    <t>x7,12</t>
  </si>
  <si>
    <t>Sakarya - Bursa</t>
  </si>
  <si>
    <t>Present cost, mln. $ =</t>
  </si>
  <si>
    <t>x7,13</t>
  </si>
  <si>
    <t>Sakarya- Kayseri</t>
  </si>
  <si>
    <t>x7,14</t>
  </si>
  <si>
    <t>Sakarya - Export</t>
  </si>
  <si>
    <t>x8,9</t>
  </si>
  <si>
    <t>Adana - Istanbul</t>
  </si>
  <si>
    <t>x8,10</t>
  </si>
  <si>
    <t>Adana - Izmir</t>
  </si>
  <si>
    <t>x8,11</t>
  </si>
  <si>
    <t>Adana - Antalya</t>
  </si>
  <si>
    <t>x8,12</t>
  </si>
  <si>
    <t>Adana - Bursa</t>
  </si>
  <si>
    <t>x8,13</t>
  </si>
  <si>
    <t>Adana - Kayseri</t>
  </si>
  <si>
    <t>x8,14</t>
  </si>
  <si>
    <t>Adana - Export</t>
  </si>
  <si>
    <t xml:space="preserve">Total = </t>
  </si>
  <si>
    <t>Total =</t>
  </si>
  <si>
    <t xml:space="preserve">Total present = </t>
  </si>
  <si>
    <t xml:space="preserve">Total present (year 4-20) = </t>
  </si>
  <si>
    <t xml:space="preserve">Present transportation cost value (year 1-20) = </t>
  </si>
  <si>
    <t>mln. $</t>
  </si>
</sst>
</file>

<file path=xl/styles.xml><?xml version="1.0" encoding="utf-8"?>
<styleSheet xmlns="http://schemas.openxmlformats.org/spreadsheetml/2006/main">
  <numFmts count="10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0.000"/>
    <numFmt numFmtId="165" formatCode="0.0"/>
  </numFmts>
  <fonts count="9">
    <font>
      <sz val="10"/>
      <name val="Arial Cyr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0"/>
    </font>
    <font>
      <sz val="12"/>
      <name val="Arial"/>
      <family val="2"/>
    </font>
    <font>
      <sz val="8"/>
      <name val="Arial Cyr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2" borderId="1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165" fontId="3" fillId="4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3" borderId="5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0" fontId="5" fillId="7" borderId="1" xfId="0" applyFont="1" applyFill="1" applyBorder="1" applyAlignment="1">
      <alignment horizontal="center"/>
    </xf>
    <xf numFmtId="0" fontId="4" fillId="3" borderId="6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right" vertical="center"/>
    </xf>
    <xf numFmtId="165" fontId="4" fillId="7" borderId="1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/>
    </xf>
    <xf numFmtId="0" fontId="4" fillId="3" borderId="7" xfId="0" applyFont="1" applyFill="1" applyBorder="1" applyAlignment="1">
      <alignment horizontal="right" vertical="center"/>
    </xf>
    <xf numFmtId="0" fontId="4" fillId="3" borderId="8" xfId="0" applyFont="1" applyFill="1" applyBorder="1" applyAlignment="1">
      <alignment horizontal="right" vertical="center"/>
    </xf>
    <xf numFmtId="165" fontId="4" fillId="7" borderId="8" xfId="0" applyNumberFormat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/>
    </xf>
    <xf numFmtId="0" fontId="0" fillId="0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right" vertical="center"/>
    </xf>
    <xf numFmtId="165" fontId="3" fillId="6" borderId="1" xfId="0" applyNumberFormat="1" applyFont="1" applyFill="1" applyBorder="1" applyAlignment="1">
      <alignment horizontal="center" vertical="center"/>
    </xf>
    <xf numFmtId="164" fontId="0" fillId="8" borderId="1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165" fontId="0" fillId="6" borderId="1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1" fontId="0" fillId="6" borderId="1" xfId="0" applyNumberFormat="1" applyFill="1" applyBorder="1" applyAlignment="1">
      <alignment horizontal="center" vertical="center" wrapText="1"/>
    </xf>
    <xf numFmtId="1" fontId="0" fillId="5" borderId="1" xfId="0" applyNumberFormat="1" applyFill="1" applyBorder="1" applyAlignment="1">
      <alignment horizontal="center" vertical="center" wrapText="1"/>
    </xf>
    <xf numFmtId="1" fontId="0" fillId="6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0" fillId="8" borderId="1" xfId="0" applyFill="1" applyBorder="1" applyAlignment="1">
      <alignment/>
    </xf>
    <xf numFmtId="165" fontId="0" fillId="2" borderId="10" xfId="0" applyNumberFormat="1" applyFill="1" applyBorder="1" applyAlignment="1">
      <alignment horizontal="center" vertical="center" wrapText="1"/>
    </xf>
    <xf numFmtId="165" fontId="0" fillId="2" borderId="11" xfId="0" applyNumberFormat="1" applyFill="1" applyBorder="1" applyAlignment="1">
      <alignment horizontal="center" vertical="center" wrapText="1"/>
    </xf>
    <xf numFmtId="165" fontId="0" fillId="2" borderId="12" xfId="0" applyNumberForma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vertical="center"/>
    </xf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0" fillId="8" borderId="1" xfId="0" applyFill="1" applyBorder="1" applyAlignment="1">
      <alignment vertical="center"/>
    </xf>
    <xf numFmtId="165" fontId="6" fillId="6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/>
    </xf>
    <xf numFmtId="0" fontId="0" fillId="5" borderId="13" xfId="0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top"/>
    </xf>
    <xf numFmtId="0" fontId="3" fillId="6" borderId="1" xfId="0" applyFont="1" applyFill="1" applyBorder="1" applyAlignment="1">
      <alignment horizontal="center" vertical="top"/>
    </xf>
    <xf numFmtId="0" fontId="3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0" xfId="0" applyFill="1" applyBorder="1" applyAlignment="1">
      <alignment vertical="center"/>
    </xf>
    <xf numFmtId="1" fontId="3" fillId="4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2" fontId="3" fillId="6" borderId="1" xfId="0" applyNumberFormat="1" applyFont="1" applyFill="1" applyBorder="1" applyAlignment="1">
      <alignment horizontal="center" vertical="center"/>
    </xf>
    <xf numFmtId="2" fontId="3" fillId="6" borderId="10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2" fontId="0" fillId="6" borderId="1" xfId="0" applyNumberFormat="1" applyFill="1" applyBorder="1" applyAlignment="1">
      <alignment horizontal="center"/>
    </xf>
    <xf numFmtId="2" fontId="0" fillId="6" borderId="10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8" borderId="14" xfId="0" applyFill="1" applyBorder="1" applyAlignment="1">
      <alignment vertical="center"/>
    </xf>
    <xf numFmtId="165" fontId="6" fillId="6" borderId="14" xfId="0" applyNumberFormat="1" applyFont="1" applyFill="1" applyBorder="1" applyAlignment="1">
      <alignment horizontal="center" vertical="center"/>
    </xf>
    <xf numFmtId="164" fontId="0" fillId="8" borderId="14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164" fontId="6" fillId="6" borderId="1" xfId="0" applyNumberFormat="1" applyFont="1" applyFill="1" applyBorder="1" applyAlignment="1">
      <alignment horizontal="center" vertical="center"/>
    </xf>
    <xf numFmtId="164" fontId="6" fillId="6" borderId="10" xfId="0" applyNumberFormat="1" applyFont="1" applyFill="1" applyBorder="1" applyAlignment="1">
      <alignment horizontal="center" vertical="center"/>
    </xf>
    <xf numFmtId="164" fontId="0" fillId="8" borderId="1" xfId="0" applyNumberForma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4" fillId="2" borderId="12" xfId="0" applyFont="1" applyFill="1" applyBorder="1" applyAlignment="1">
      <alignment horizontal="right" vertical="center"/>
    </xf>
    <xf numFmtId="165" fontId="4" fillId="6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2:W64"/>
  <sheetViews>
    <sheetView tabSelected="1" zoomScale="70" zoomScaleNormal="70" workbookViewId="0" topLeftCell="A2">
      <selection activeCell="M52" sqref="M52"/>
    </sheetView>
  </sheetViews>
  <sheetFormatPr defaultColWidth="9.00390625" defaultRowHeight="12.75"/>
  <cols>
    <col min="4" max="4" width="15.25390625" style="0" customWidth="1"/>
    <col min="8" max="8" width="14.375" style="0" customWidth="1"/>
    <col min="11" max="11" width="21.00390625" style="0" customWidth="1"/>
  </cols>
  <sheetData>
    <row r="2" spans="4:23" ht="18">
      <c r="D2" s="1"/>
      <c r="E2" s="2"/>
      <c r="F2" s="2"/>
      <c r="G2" s="2"/>
      <c r="H2" s="2"/>
      <c r="I2" s="2"/>
      <c r="J2" s="2"/>
      <c r="K2" s="2"/>
      <c r="L2" s="2"/>
      <c r="M2" s="2"/>
      <c r="N2" s="2"/>
      <c r="P2" s="3"/>
      <c r="Q2" s="3"/>
      <c r="R2" s="1"/>
      <c r="S2" s="2"/>
      <c r="T2" s="2"/>
      <c r="U2" s="2"/>
      <c r="V2" s="2"/>
      <c r="W2" s="2"/>
    </row>
    <row r="3" spans="4:23" ht="18.75" thickBot="1">
      <c r="D3" s="1"/>
      <c r="E3" s="4" t="s">
        <v>0</v>
      </c>
      <c r="F3" s="4" t="s">
        <v>1</v>
      </c>
      <c r="G3" s="4" t="s">
        <v>2</v>
      </c>
      <c r="H3" s="2"/>
      <c r="I3" s="2"/>
      <c r="J3" s="2"/>
      <c r="P3" s="3"/>
      <c r="Q3" s="3"/>
      <c r="R3" s="1"/>
      <c r="S3" s="2"/>
      <c r="T3" s="2"/>
      <c r="U3" s="2"/>
      <c r="V3" s="2"/>
      <c r="W3" s="5"/>
    </row>
    <row r="4" spans="4:19" ht="25.5">
      <c r="D4" s="6" t="s">
        <v>3</v>
      </c>
      <c r="E4" s="7" t="s">
        <v>4</v>
      </c>
      <c r="F4" s="7"/>
      <c r="G4" s="7"/>
      <c r="H4" s="6" t="s">
        <v>5</v>
      </c>
      <c r="I4" s="8" t="s">
        <v>6</v>
      </c>
      <c r="J4" s="9"/>
      <c r="K4" s="10" t="s">
        <v>7</v>
      </c>
      <c r="L4" s="11"/>
      <c r="M4" s="11"/>
      <c r="N4" s="11"/>
      <c r="O4" s="11"/>
      <c r="P4" s="11"/>
      <c r="Q4" s="11"/>
      <c r="R4" s="12"/>
      <c r="S4" s="13"/>
    </row>
    <row r="5" spans="3:18" ht="15.75">
      <c r="C5" s="4" t="s">
        <v>8</v>
      </c>
      <c r="D5" s="14" t="s">
        <v>9</v>
      </c>
      <c r="E5" s="15">
        <v>24.240969638785543</v>
      </c>
      <c r="F5" s="15">
        <v>22.200888035521416</v>
      </c>
      <c r="G5" s="15">
        <v>25.201008040321604</v>
      </c>
      <c r="H5" s="16">
        <v>0.0264374</v>
      </c>
      <c r="I5" s="17">
        <f>SUM(E5:G5)*H5</f>
        <v>1.894051098043921</v>
      </c>
      <c r="J5" s="18"/>
      <c r="K5" s="19" t="s">
        <v>10</v>
      </c>
      <c r="L5" s="20"/>
      <c r="M5" s="20"/>
      <c r="N5" s="20"/>
      <c r="O5" s="20"/>
      <c r="P5" s="20"/>
      <c r="Q5" s="21">
        <f>I63+R48</f>
        <v>157.52625363444682</v>
      </c>
      <c r="R5" s="22" t="s">
        <v>11</v>
      </c>
    </row>
    <row r="6" spans="3:18" ht="15.75">
      <c r="C6" s="4" t="s">
        <v>12</v>
      </c>
      <c r="D6" s="14" t="s">
        <v>13</v>
      </c>
      <c r="E6" s="15">
        <v>5.759030361214461</v>
      </c>
      <c r="F6" s="15">
        <v>7.79911196447859</v>
      </c>
      <c r="G6" s="15">
        <v>4.798991959678392</v>
      </c>
      <c r="H6" s="16">
        <v>0.016686399999999997</v>
      </c>
      <c r="I6" s="17">
        <f>SUM(E6:G6)*H6</f>
        <v>0.30631448553942203</v>
      </c>
      <c r="J6" s="18"/>
      <c r="K6" s="23" t="s">
        <v>14</v>
      </c>
      <c r="L6" s="24"/>
      <c r="M6" s="24"/>
      <c r="N6" s="24"/>
      <c r="O6" s="24"/>
      <c r="P6" s="24"/>
      <c r="Q6" s="25">
        <f>I63</f>
        <v>73.00333853301935</v>
      </c>
      <c r="R6" s="26" t="s">
        <v>11</v>
      </c>
    </row>
    <row r="7" spans="3:18" ht="16.5" thickBot="1">
      <c r="C7" s="4" t="s">
        <v>15</v>
      </c>
      <c r="D7" s="14" t="s">
        <v>16</v>
      </c>
      <c r="E7" s="15">
        <v>0</v>
      </c>
      <c r="F7" s="15">
        <v>0</v>
      </c>
      <c r="G7" s="15">
        <v>0</v>
      </c>
      <c r="H7" s="16">
        <v>0.029573399999999996</v>
      </c>
      <c r="I7" s="17">
        <f>SUM(E7:G7)*H7</f>
        <v>0</v>
      </c>
      <c r="J7" s="18"/>
      <c r="K7" s="27" t="s">
        <v>17</v>
      </c>
      <c r="L7" s="28"/>
      <c r="M7" s="28"/>
      <c r="N7" s="28"/>
      <c r="O7" s="28"/>
      <c r="P7" s="28"/>
      <c r="Q7" s="29">
        <f>R48</f>
        <v>84.52291510142747</v>
      </c>
      <c r="R7" s="30" t="s">
        <v>11</v>
      </c>
    </row>
    <row r="8" spans="3:10" ht="12.75">
      <c r="C8" s="4" t="s">
        <v>18</v>
      </c>
      <c r="D8" s="14" t="s">
        <v>19</v>
      </c>
      <c r="E8" s="15">
        <v>0</v>
      </c>
      <c r="F8" s="15">
        <v>5.510891244742617E-15</v>
      </c>
      <c r="G8" s="15">
        <v>1.2999867495784823E-15</v>
      </c>
      <c r="H8" s="16">
        <v>0.021537399999999998</v>
      </c>
      <c r="I8" s="17">
        <f>SUM(E8:G8)*H8</f>
        <v>1.4668860371489123E-16</v>
      </c>
      <c r="J8" s="18"/>
    </row>
    <row r="9" spans="3:10" ht="12.75">
      <c r="C9" s="4" t="s">
        <v>20</v>
      </c>
      <c r="D9" s="14" t="s">
        <v>21</v>
      </c>
      <c r="E9" s="15">
        <v>0</v>
      </c>
      <c r="F9" s="15">
        <v>0</v>
      </c>
      <c r="G9" s="15">
        <v>0</v>
      </c>
      <c r="H9" s="16">
        <v>0.0321704</v>
      </c>
      <c r="I9" s="17">
        <f>SUM(E9:G9)*H9</f>
        <v>0</v>
      </c>
      <c r="J9" s="18"/>
    </row>
    <row r="10" spans="3:20" ht="12.75">
      <c r="C10" s="31"/>
      <c r="D10" s="32">
        <f>SUM(E10:G10)</f>
        <v>2.200365583583343</v>
      </c>
      <c r="E10" s="33">
        <f>E5*H5+E6*H6+E7*H7+E8*H8+E9*H9</f>
        <v>0.7369656949477978</v>
      </c>
      <c r="F10" s="33">
        <f>F5*H5+F6*H6+F7*H7+F8*H8+F9*H9</f>
        <v>0.7170728592343695</v>
      </c>
      <c r="G10" s="33">
        <f>G5*H5+G6*H6+G7*H7+G8*H8+G9*H9</f>
        <v>0.7463270294011759</v>
      </c>
      <c r="H10" s="31"/>
      <c r="I10" s="34">
        <f>SUM(I5:I9)</f>
        <v>2.200365583583343</v>
      </c>
      <c r="J10" s="18"/>
      <c r="K10" s="4"/>
      <c r="L10" s="35" t="s">
        <v>0</v>
      </c>
      <c r="M10" s="36"/>
      <c r="N10" s="37"/>
      <c r="O10" s="35" t="s">
        <v>1</v>
      </c>
      <c r="P10" s="36"/>
      <c r="Q10" s="37"/>
      <c r="R10" s="7" t="s">
        <v>2</v>
      </c>
      <c r="S10" s="7"/>
      <c r="T10" s="7"/>
    </row>
    <row r="11" spans="3:20" ht="12.75">
      <c r="C11" s="4" t="s">
        <v>22</v>
      </c>
      <c r="D11" s="14" t="s">
        <v>23</v>
      </c>
      <c r="E11" s="15">
        <v>0</v>
      </c>
      <c r="F11" s="15">
        <v>0</v>
      </c>
      <c r="G11" s="15">
        <v>0</v>
      </c>
      <c r="H11" s="16">
        <v>0.0368254</v>
      </c>
      <c r="I11" s="17">
        <f>SUM(E11:G11)*H11</f>
        <v>0</v>
      </c>
      <c r="J11" s="18"/>
      <c r="K11" s="4" t="s">
        <v>24</v>
      </c>
      <c r="L11" s="6" t="s">
        <v>25</v>
      </c>
      <c r="M11" s="6" t="s">
        <v>26</v>
      </c>
      <c r="N11" s="6" t="s">
        <v>27</v>
      </c>
      <c r="O11" s="6" t="s">
        <v>25</v>
      </c>
      <c r="P11" s="6" t="s">
        <v>26</v>
      </c>
      <c r="Q11" s="6" t="s">
        <v>27</v>
      </c>
      <c r="R11" s="6" t="s">
        <v>25</v>
      </c>
      <c r="S11" s="6" t="s">
        <v>26</v>
      </c>
      <c r="T11" s="6" t="s">
        <v>27</v>
      </c>
    </row>
    <row r="12" spans="3:20" ht="12.75">
      <c r="C12" s="4" t="s">
        <v>28</v>
      </c>
      <c r="D12" s="14" t="s">
        <v>29</v>
      </c>
      <c r="E12" s="15">
        <v>18.24192967718709</v>
      </c>
      <c r="F12" s="15">
        <v>14.521780871286321</v>
      </c>
      <c r="G12" s="15">
        <v>15.60182407296293</v>
      </c>
      <c r="H12" s="16">
        <v>0.0167354</v>
      </c>
      <c r="I12" s="17">
        <f>SUM(E12:G12)*H12</f>
        <v>0.8094165681035858</v>
      </c>
      <c r="J12" s="18"/>
      <c r="K12" s="38" t="s">
        <v>30</v>
      </c>
      <c r="L12" s="39">
        <f>SUM(E5:E9)</f>
        <v>30.000000000000004</v>
      </c>
      <c r="M12" s="40">
        <v>30</v>
      </c>
      <c r="N12" s="41"/>
      <c r="O12" s="39">
        <f>SUM(F5:F9)</f>
        <v>30.000000000000014</v>
      </c>
      <c r="P12" s="40">
        <v>30</v>
      </c>
      <c r="Q12" s="41"/>
      <c r="R12" s="39">
        <f>SUM(G5:G9)</f>
        <v>29.999999999999996</v>
      </c>
      <c r="S12" s="40">
        <v>30</v>
      </c>
      <c r="T12" s="42"/>
    </row>
    <row r="13" spans="3:20" ht="12.75">
      <c r="C13" s="4" t="s">
        <v>31</v>
      </c>
      <c r="D13" s="14" t="s">
        <v>32</v>
      </c>
      <c r="E13" s="15">
        <v>0</v>
      </c>
      <c r="F13" s="15">
        <v>0</v>
      </c>
      <c r="G13" s="15">
        <v>0</v>
      </c>
      <c r="H13" s="16">
        <v>0.027613399999999996</v>
      </c>
      <c r="I13" s="17">
        <f>SUM(E13:G13)*H13</f>
        <v>0</v>
      </c>
      <c r="J13" s="18"/>
      <c r="K13" s="38" t="s">
        <v>33</v>
      </c>
      <c r="L13" s="39">
        <f>SUM(E11:E15)</f>
        <v>18.24192967718709</v>
      </c>
      <c r="M13" s="40">
        <v>68</v>
      </c>
      <c r="N13" s="41"/>
      <c r="O13" s="39">
        <f>SUM(F11:F15)</f>
        <v>14.521780871286321</v>
      </c>
      <c r="P13" s="40">
        <v>68</v>
      </c>
      <c r="Q13" s="41"/>
      <c r="R13" s="39">
        <f>SUM(G11:G15)</f>
        <v>15.60182407296293</v>
      </c>
      <c r="S13" s="40">
        <v>68</v>
      </c>
      <c r="T13" s="42"/>
    </row>
    <row r="14" spans="3:20" ht="12.75">
      <c r="C14" s="4" t="s">
        <v>34</v>
      </c>
      <c r="D14" s="14" t="s">
        <v>35</v>
      </c>
      <c r="E14" s="15">
        <v>0</v>
      </c>
      <c r="F14" s="15">
        <v>0</v>
      </c>
      <c r="G14" s="15">
        <v>0</v>
      </c>
      <c r="H14" s="16">
        <v>0.04799740000000001</v>
      </c>
      <c r="I14" s="17">
        <f>SUM(E14:G14)*H14</f>
        <v>0</v>
      </c>
      <c r="J14" s="18"/>
      <c r="K14" s="38" t="s">
        <v>36</v>
      </c>
      <c r="L14" s="39">
        <f>SUM(E17:E21)</f>
        <v>-8.951445009801192E-16</v>
      </c>
      <c r="M14" s="40">
        <v>20</v>
      </c>
      <c r="N14" s="41"/>
      <c r="O14" s="39">
        <f>SUM(F17:F21)</f>
        <v>7.699923000769991</v>
      </c>
      <c r="P14" s="40">
        <v>20</v>
      </c>
      <c r="Q14" s="41"/>
      <c r="R14" s="39">
        <f>SUM(G17:G21)</f>
        <v>13.199868001319985</v>
      </c>
      <c r="S14" s="40">
        <v>20</v>
      </c>
      <c r="T14" s="42"/>
    </row>
    <row r="15" spans="3:20" ht="12.75">
      <c r="C15" s="4" t="s">
        <v>37</v>
      </c>
      <c r="D15" s="14" t="s">
        <v>38</v>
      </c>
      <c r="E15" s="15">
        <v>0</v>
      </c>
      <c r="F15" s="15">
        <v>0</v>
      </c>
      <c r="G15" s="15">
        <v>0</v>
      </c>
      <c r="H15" s="16">
        <v>0.021537399999999998</v>
      </c>
      <c r="I15" s="17">
        <f>SUM(E15:G15)*H15</f>
        <v>0</v>
      </c>
      <c r="J15" s="18"/>
      <c r="K15" s="43"/>
      <c r="L15" s="43"/>
      <c r="M15" s="43"/>
      <c r="N15" s="43"/>
      <c r="O15" s="43"/>
      <c r="P15" s="43"/>
      <c r="Q15" s="42"/>
      <c r="R15" s="42"/>
      <c r="S15" s="42"/>
      <c r="T15" s="42"/>
    </row>
    <row r="16" spans="3:20" ht="12.75">
      <c r="C16" s="42"/>
      <c r="D16" s="32">
        <f>SUM(E16:G16)</f>
        <v>0.8094165681035859</v>
      </c>
      <c r="E16" s="33">
        <f>E11*H11+E12*H12+E13*H13+E14*H14+E15*H15</f>
        <v>0.3052859899195969</v>
      </c>
      <c r="F16" s="33">
        <f>F11*H11+F12*H12+F13*H13+F14*H14+F15*H15</f>
        <v>0.24302781159332512</v>
      </c>
      <c r="G16" s="33">
        <f>G11*H11+G12*H12+G13*H13+G14*H14+G15*H15</f>
        <v>0.26110276659066384</v>
      </c>
      <c r="H16" s="31"/>
      <c r="I16" s="34">
        <f>SUM(I11:I15)</f>
        <v>0.8094165681035858</v>
      </c>
      <c r="J16" s="18"/>
      <c r="K16" s="38" t="s">
        <v>39</v>
      </c>
      <c r="L16" s="44">
        <f>E5*L25+E11*L25+E17*L26</f>
        <v>201.99999999999994</v>
      </c>
      <c r="M16" s="45">
        <v>220</v>
      </c>
      <c r="N16" s="44">
        <f>SUM(E24:E29)</f>
        <v>201.99999999999983</v>
      </c>
      <c r="O16" s="44">
        <f>F5*L25+F11*L25+F17*L26</f>
        <v>184.99999999999997</v>
      </c>
      <c r="P16" s="45">
        <v>220</v>
      </c>
      <c r="Q16" s="44">
        <f>SUM(F24:F29)</f>
        <v>185</v>
      </c>
      <c r="R16" s="44">
        <f>G5*L25+G11*L25+G17*L26</f>
        <v>209.99999999999991</v>
      </c>
      <c r="S16" s="45">
        <v>220</v>
      </c>
      <c r="T16" s="46">
        <f>SUM(G24:G29)</f>
        <v>210</v>
      </c>
    </row>
    <row r="17" spans="3:20" ht="12.75">
      <c r="C17" s="47" t="s">
        <v>40</v>
      </c>
      <c r="D17" s="14" t="s">
        <v>41</v>
      </c>
      <c r="E17" s="15">
        <v>0</v>
      </c>
      <c r="F17" s="15">
        <v>0</v>
      </c>
      <c r="G17" s="15">
        <v>0</v>
      </c>
      <c r="H17" s="16">
        <v>0.0317784</v>
      </c>
      <c r="I17" s="17">
        <f>SUM(E17:G17)*H17</f>
        <v>0</v>
      </c>
      <c r="J17" s="18"/>
      <c r="K17" s="38" t="s">
        <v>42</v>
      </c>
      <c r="L17" s="44">
        <f>E6*L25+E12*L25+E18*L26</f>
        <v>200.00000000000017</v>
      </c>
      <c r="M17" s="45">
        <v>200</v>
      </c>
      <c r="N17" s="44">
        <f>SUM(E31:E36)</f>
        <v>200.00000000000014</v>
      </c>
      <c r="O17" s="44">
        <f>F6*L25+F12*L25+F18*L26</f>
        <v>186.000000000429</v>
      </c>
      <c r="P17" s="45">
        <v>200</v>
      </c>
      <c r="Q17" s="44">
        <f>SUM(F31:F36)</f>
        <v>186.00000000001376</v>
      </c>
      <c r="R17" s="44">
        <f>G6*L25+G12*L25+G18*L26</f>
        <v>170.00000000000014</v>
      </c>
      <c r="S17" s="45">
        <v>200</v>
      </c>
      <c r="T17" s="46">
        <f>SUM(G31:G36)</f>
        <v>170</v>
      </c>
    </row>
    <row r="18" spans="3:20" ht="12.75">
      <c r="C18" s="47" t="s">
        <v>43</v>
      </c>
      <c r="D18" s="14" t="s">
        <v>44</v>
      </c>
      <c r="E18" s="15">
        <v>0</v>
      </c>
      <c r="F18" s="15">
        <v>0</v>
      </c>
      <c r="G18" s="15">
        <v>0</v>
      </c>
      <c r="H18" s="16">
        <v>0.032513400000000005</v>
      </c>
      <c r="I18" s="17">
        <f>SUM(E18:G18)*H18</f>
        <v>0</v>
      </c>
      <c r="J18" s="18"/>
      <c r="K18" s="48" t="s">
        <v>45</v>
      </c>
      <c r="L18" s="44">
        <f>(E7*L25+E13*L25+E19*L26)</f>
        <v>-8.137758658410262E-15</v>
      </c>
      <c r="M18" s="44">
        <f>L41*T41+M41*U41</f>
        <v>2.893858880526429E-16</v>
      </c>
      <c r="N18" s="44">
        <f>SUM(E38:E43)</f>
        <v>0</v>
      </c>
      <c r="O18" s="44">
        <f>F7*L25+F13*L25+F19*L26</f>
        <v>69.99999999999999</v>
      </c>
      <c r="P18" s="44">
        <f>N41*T41+O41*U41</f>
        <v>70</v>
      </c>
      <c r="Q18" s="44">
        <f>SUM(F38:F43)</f>
        <v>70</v>
      </c>
      <c r="R18" s="44">
        <f>G7*L25+G13*L25+G19*L26</f>
        <v>119.99999999999997</v>
      </c>
      <c r="S18" s="44">
        <f>P41*T41+Q41*U41</f>
        <v>120</v>
      </c>
      <c r="T18" s="46">
        <f>SUM(G38:G43)</f>
        <v>119.99999999999994</v>
      </c>
    </row>
    <row r="19" spans="3:20" ht="12.75">
      <c r="C19" s="47" t="s">
        <v>46</v>
      </c>
      <c r="D19" s="14" t="s">
        <v>47</v>
      </c>
      <c r="E19" s="15">
        <v>-8.951445009801192E-16</v>
      </c>
      <c r="F19" s="15">
        <v>7.699923000769991</v>
      </c>
      <c r="G19" s="15">
        <v>13.199868001319985</v>
      </c>
      <c r="H19" s="16">
        <v>0.0040934000000000005</v>
      </c>
      <c r="I19" s="17">
        <f>SUM(E19:G19)*H19</f>
        <v>0.08555120448795513</v>
      </c>
      <c r="J19" s="18"/>
      <c r="K19" s="48" t="s">
        <v>48</v>
      </c>
      <c r="L19" s="44">
        <f>(E8*L25+E14*L25+E20*L26)</f>
        <v>0</v>
      </c>
      <c r="M19" s="44">
        <f>L42*T42+M42*U42</f>
        <v>0</v>
      </c>
      <c r="N19" s="44">
        <f>SUM(E45:E50)</f>
        <v>0</v>
      </c>
      <c r="O19" s="44">
        <f>F8*L25+F14*L25+F20*L26</f>
        <v>4.592225674244023E-14</v>
      </c>
      <c r="P19" s="44">
        <f>N42*T42+O42*U42</f>
        <v>-2.3092638915270366E-14</v>
      </c>
      <c r="Q19" s="44">
        <f>SUM(F45:F50)</f>
        <v>0</v>
      </c>
      <c r="R19" s="44">
        <f>G8*L25+G14*L25+G20*L26</f>
        <v>1.0832789584237493E-14</v>
      </c>
      <c r="S19" s="44">
        <f>P42*T42+Q42*U42</f>
        <v>1.6513819513418623E-15</v>
      </c>
      <c r="T19" s="46">
        <f>SUM(G45:G50)</f>
        <v>1.0832789584237498E-14</v>
      </c>
    </row>
    <row r="20" spans="3:20" ht="12.75">
      <c r="C20" s="47" t="s">
        <v>49</v>
      </c>
      <c r="D20" s="14" t="s">
        <v>50</v>
      </c>
      <c r="E20" s="15">
        <v>0</v>
      </c>
      <c r="F20" s="15">
        <v>0</v>
      </c>
      <c r="G20" s="15">
        <v>0</v>
      </c>
      <c r="H20" s="16">
        <v>0.027613399999999996</v>
      </c>
      <c r="I20" s="17">
        <f>SUM(E20:G20)*H20</f>
        <v>0</v>
      </c>
      <c r="J20" s="18"/>
      <c r="K20" s="48" t="s">
        <v>51</v>
      </c>
      <c r="L20" s="44">
        <f>(E9*L25+E15*L25+E21*L26)</f>
        <v>0</v>
      </c>
      <c r="M20" s="44">
        <f>L43*T43+M43*U43</f>
        <v>0</v>
      </c>
      <c r="N20" s="44">
        <f>SUM(E52:E57)</f>
        <v>0</v>
      </c>
      <c r="O20" s="44">
        <f>F9*L25+F15*L25+F21*L26</f>
        <v>0</v>
      </c>
      <c r="P20" s="44">
        <f>N43*T43+O43*U43</f>
        <v>0</v>
      </c>
      <c r="Q20" s="44">
        <f>SUM(F52:F57)</f>
        <v>0</v>
      </c>
      <c r="R20" s="44">
        <f>G9*L25+G15*L25+G21*L26</f>
        <v>0</v>
      </c>
      <c r="S20" s="44">
        <f>P43*T43+Q43*U43</f>
        <v>4.314083075427408E-31</v>
      </c>
      <c r="T20" s="46">
        <f>SUM(G52:G57)</f>
        <v>0</v>
      </c>
    </row>
    <row r="21" spans="3:10" ht="12.75">
      <c r="C21" s="47" t="s">
        <v>52</v>
      </c>
      <c r="D21" s="14" t="s">
        <v>53</v>
      </c>
      <c r="E21" s="15">
        <v>0</v>
      </c>
      <c r="F21" s="15">
        <v>0</v>
      </c>
      <c r="G21" s="15">
        <v>0</v>
      </c>
      <c r="H21" s="16">
        <v>0.04799740000000001</v>
      </c>
      <c r="I21" s="17">
        <f>SUM(E21:G21)*H21</f>
        <v>0</v>
      </c>
      <c r="J21" s="18"/>
    </row>
    <row r="22" spans="4:10" ht="12.75">
      <c r="D22" s="49">
        <f>SUM(E22:G22)</f>
        <v>0.08555120448795511</v>
      </c>
      <c r="E22" s="33">
        <f>E17*H17+E18*H18+E19*H19+E20*H20+E21*H21</f>
        <v>-3.664184500312021E-18</v>
      </c>
      <c r="F22" s="33">
        <f>F17*H17+F18*H18+F19*H19+F20*H20+F21*H21</f>
        <v>0.03151886481135189</v>
      </c>
      <c r="G22" s="33">
        <f>G17*H17+G18*H18+G19*H19+G20*H20+G21*H21</f>
        <v>0.05403233967660323</v>
      </c>
      <c r="I22" s="34">
        <f>SUM(I17:I21)</f>
        <v>0.08555120448795513</v>
      </c>
      <c r="J22" s="18"/>
    </row>
    <row r="23" spans="3:9" ht="25.5">
      <c r="C23" s="9"/>
      <c r="D23" s="4" t="s">
        <v>3</v>
      </c>
      <c r="E23" s="50" t="s">
        <v>54</v>
      </c>
      <c r="F23" s="51"/>
      <c r="G23" s="52"/>
      <c r="H23" s="6" t="s">
        <v>55</v>
      </c>
      <c r="I23" s="53"/>
    </row>
    <row r="24" spans="3:16" ht="12.75">
      <c r="C24" s="47" t="s">
        <v>56</v>
      </c>
      <c r="D24" s="14" t="s">
        <v>57</v>
      </c>
      <c r="E24" s="15">
        <v>103</v>
      </c>
      <c r="F24" s="15">
        <v>110</v>
      </c>
      <c r="G24" s="15">
        <v>125</v>
      </c>
      <c r="H24" s="16">
        <v>0</v>
      </c>
      <c r="I24" s="17">
        <f aca="true" t="shared" si="0" ref="I24:I29">SUM(E24:G24)*H24</f>
        <v>0</v>
      </c>
      <c r="K24" s="7" t="s">
        <v>58</v>
      </c>
      <c r="L24" s="7"/>
      <c r="N24" s="54" t="s">
        <v>59</v>
      </c>
      <c r="O24" s="16">
        <v>20</v>
      </c>
      <c r="P24" s="55" t="s">
        <v>60</v>
      </c>
    </row>
    <row r="25" spans="3:16" ht="12.75">
      <c r="C25" s="47" t="s">
        <v>61</v>
      </c>
      <c r="D25" s="56" t="s">
        <v>62</v>
      </c>
      <c r="E25" s="15">
        <v>38.99999999999982</v>
      </c>
      <c r="F25" s="15">
        <v>0</v>
      </c>
      <c r="G25" s="15">
        <v>0</v>
      </c>
      <c r="H25" s="16">
        <v>0.040357142857142855</v>
      </c>
      <c r="I25" s="17">
        <f t="shared" si="0"/>
        <v>1.5739285714285642</v>
      </c>
      <c r="K25" s="38" t="s">
        <v>63</v>
      </c>
      <c r="L25" s="40">
        <v>8.333</v>
      </c>
      <c r="N25" s="54" t="s">
        <v>64</v>
      </c>
      <c r="O25" s="16">
        <v>0.1</v>
      </c>
      <c r="P25" s="55"/>
    </row>
    <row r="26" spans="3:22" ht="12.75">
      <c r="C26" s="47" t="s">
        <v>65</v>
      </c>
      <c r="D26" s="56" t="s">
        <v>66</v>
      </c>
      <c r="E26" s="15">
        <v>0</v>
      </c>
      <c r="F26" s="15">
        <v>0</v>
      </c>
      <c r="G26" s="15">
        <v>0</v>
      </c>
      <c r="H26" s="16">
        <v>0.05171428571428572</v>
      </c>
      <c r="I26" s="17">
        <f t="shared" si="0"/>
        <v>0</v>
      </c>
      <c r="K26" s="38" t="s">
        <v>36</v>
      </c>
      <c r="L26" s="40">
        <v>9.091</v>
      </c>
      <c r="N26" s="54" t="s">
        <v>67</v>
      </c>
      <c r="O26" s="16">
        <v>1.1</v>
      </c>
      <c r="P26" s="55"/>
      <c r="V26" s="57"/>
    </row>
    <row r="27" spans="3:9" ht="12.75">
      <c r="C27" s="47" t="s">
        <v>68</v>
      </c>
      <c r="D27" s="56" t="s">
        <v>69</v>
      </c>
      <c r="E27" s="15">
        <v>60</v>
      </c>
      <c r="F27" s="15">
        <v>75</v>
      </c>
      <c r="G27" s="15">
        <v>85</v>
      </c>
      <c r="H27" s="16">
        <v>0.01735714285714286</v>
      </c>
      <c r="I27" s="17">
        <f t="shared" si="0"/>
        <v>3.818571428571429</v>
      </c>
    </row>
    <row r="28" spans="3:21" ht="12.75">
      <c r="C28" s="47" t="s">
        <v>70</v>
      </c>
      <c r="D28" s="56" t="s">
        <v>71</v>
      </c>
      <c r="E28" s="15">
        <v>0</v>
      </c>
      <c r="F28" s="15">
        <v>0</v>
      </c>
      <c r="G28" s="15">
        <v>0</v>
      </c>
      <c r="H28" s="16">
        <v>0.055142857142857146</v>
      </c>
      <c r="I28" s="17">
        <f t="shared" si="0"/>
        <v>0</v>
      </c>
      <c r="R28" s="57"/>
      <c r="S28" s="57"/>
      <c r="T28" s="57"/>
      <c r="U28" s="57"/>
    </row>
    <row r="29" spans="3:17" ht="12.75">
      <c r="C29" s="47" t="s">
        <v>72</v>
      </c>
      <c r="D29" s="56" t="s">
        <v>73</v>
      </c>
      <c r="E29" s="15">
        <v>0</v>
      </c>
      <c r="F29" s="15">
        <v>0</v>
      </c>
      <c r="G29" s="15">
        <v>0</v>
      </c>
      <c r="H29" s="16">
        <v>0.04185714285714286</v>
      </c>
      <c r="I29" s="17">
        <f t="shared" si="0"/>
        <v>0</v>
      </c>
      <c r="J29" s="18"/>
      <c r="K29" s="18"/>
      <c r="L29" s="35" t="s">
        <v>74</v>
      </c>
      <c r="M29" s="36"/>
      <c r="N29" s="36"/>
      <c r="O29" s="36"/>
      <c r="P29" s="36"/>
      <c r="Q29" s="37"/>
    </row>
    <row r="30" spans="3:17" ht="12.75">
      <c r="C30" s="58"/>
      <c r="D30" s="59">
        <f>SUM(E30:G30)</f>
        <v>5.392499999999993</v>
      </c>
      <c r="E30" s="60">
        <f>E24*H24+E25*H25+E26*H26+E27*H27+E28*H28+E29*H29</f>
        <v>2.615357142857136</v>
      </c>
      <c r="F30" s="60">
        <f>F24*H24+F25*H25+F26*H26+F27*H27+F28*H28+F29*H29</f>
        <v>1.3017857142857145</v>
      </c>
      <c r="G30" s="60">
        <f>G24*H24+G25*H25+G26*H26+G27*H27+G28*H28+G29*H29</f>
        <v>1.475357142857143</v>
      </c>
      <c r="H30" s="31"/>
      <c r="I30" s="34">
        <f>SUM(I24:I29)</f>
        <v>5.392499999999993</v>
      </c>
      <c r="J30" s="18"/>
      <c r="K30" s="4" t="s">
        <v>24</v>
      </c>
      <c r="L30" s="61" t="s">
        <v>0</v>
      </c>
      <c r="M30" s="61"/>
      <c r="N30" s="62" t="s">
        <v>1</v>
      </c>
      <c r="O30" s="63"/>
      <c r="P30" s="62" t="s">
        <v>2</v>
      </c>
      <c r="Q30" s="63"/>
    </row>
    <row r="31" spans="3:17" ht="12.75">
      <c r="C31" s="47" t="s">
        <v>75</v>
      </c>
      <c r="D31" s="56" t="s">
        <v>76</v>
      </c>
      <c r="E31" s="15">
        <v>0</v>
      </c>
      <c r="F31" s="15">
        <v>0</v>
      </c>
      <c r="G31" s="15">
        <v>0</v>
      </c>
      <c r="H31" s="16">
        <v>0.03235714285714286</v>
      </c>
      <c r="I31" s="17">
        <f aca="true" t="shared" si="1" ref="I31:I36">SUM(E31:G31)*H31</f>
        <v>0</v>
      </c>
      <c r="J31" s="18"/>
      <c r="K31" s="48" t="s">
        <v>39</v>
      </c>
      <c r="L31" s="64">
        <f aca="true" t="shared" si="2" ref="L31:L36">E24+E31+E38+E45+E52</f>
        <v>103</v>
      </c>
      <c r="M31" s="65">
        <v>103</v>
      </c>
      <c r="N31" s="66">
        <f aca="true" t="shared" si="3" ref="N31:N36">F24+F31+F38+F45+F52</f>
        <v>110</v>
      </c>
      <c r="O31" s="67">
        <v>110</v>
      </c>
      <c r="P31" s="68">
        <f aca="true" t="shared" si="4" ref="P31:P36">G24+G31+G38+G45+G52</f>
        <v>125</v>
      </c>
      <c r="Q31" s="67">
        <v>125</v>
      </c>
    </row>
    <row r="32" spans="3:17" ht="12.75">
      <c r="C32" s="47" t="s">
        <v>77</v>
      </c>
      <c r="D32" s="56" t="s">
        <v>78</v>
      </c>
      <c r="E32" s="15">
        <v>35.00000000000015</v>
      </c>
      <c r="F32" s="15">
        <v>10.000000000013767</v>
      </c>
      <c r="G32" s="15">
        <v>0</v>
      </c>
      <c r="H32" s="16">
        <v>0.041428571428571426</v>
      </c>
      <c r="I32" s="17">
        <f t="shared" si="1"/>
        <v>1.8642857142862905</v>
      </c>
      <c r="J32" s="18"/>
      <c r="K32" s="48" t="s">
        <v>45</v>
      </c>
      <c r="L32" s="69">
        <f t="shared" si="2"/>
        <v>73.99999999999997</v>
      </c>
      <c r="M32" s="40">
        <v>74</v>
      </c>
      <c r="N32" s="70">
        <f t="shared" si="3"/>
        <v>80.00000000001377</v>
      </c>
      <c r="O32" s="67">
        <v>80</v>
      </c>
      <c r="P32" s="68">
        <f t="shared" si="4"/>
        <v>90</v>
      </c>
      <c r="Q32" s="67">
        <v>90</v>
      </c>
    </row>
    <row r="33" spans="3:17" ht="12.75">
      <c r="C33" s="47" t="s">
        <v>79</v>
      </c>
      <c r="D33" s="56" t="s">
        <v>80</v>
      </c>
      <c r="E33" s="15">
        <v>50</v>
      </c>
      <c r="F33" s="15">
        <v>53</v>
      </c>
      <c r="G33" s="15">
        <v>45</v>
      </c>
      <c r="H33" s="16">
        <v>0.03892857142857143</v>
      </c>
      <c r="I33" s="17">
        <f t="shared" si="1"/>
        <v>5.761428571428572</v>
      </c>
      <c r="J33" s="18"/>
      <c r="K33" s="48" t="s">
        <v>81</v>
      </c>
      <c r="L33" s="69">
        <f t="shared" si="2"/>
        <v>50</v>
      </c>
      <c r="M33" s="40">
        <v>50</v>
      </c>
      <c r="N33" s="70">
        <f t="shared" si="3"/>
        <v>53</v>
      </c>
      <c r="O33" s="71">
        <v>53</v>
      </c>
      <c r="P33" s="68">
        <f t="shared" si="4"/>
        <v>59.99999999999994</v>
      </c>
      <c r="Q33" s="71">
        <v>60</v>
      </c>
    </row>
    <row r="34" spans="3:17" ht="12.75">
      <c r="C34" s="47" t="s">
        <v>82</v>
      </c>
      <c r="D34" s="56" t="s">
        <v>83</v>
      </c>
      <c r="E34" s="15">
        <v>0</v>
      </c>
      <c r="F34" s="15">
        <v>0</v>
      </c>
      <c r="G34" s="15">
        <v>0</v>
      </c>
      <c r="H34" s="16">
        <v>0.027285714285714285</v>
      </c>
      <c r="I34" s="17">
        <f t="shared" si="1"/>
        <v>0</v>
      </c>
      <c r="J34" s="18"/>
      <c r="K34" s="48" t="s">
        <v>84</v>
      </c>
      <c r="L34" s="69">
        <f t="shared" si="2"/>
        <v>60</v>
      </c>
      <c r="M34" s="40">
        <v>60</v>
      </c>
      <c r="N34" s="70">
        <f t="shared" si="3"/>
        <v>75</v>
      </c>
      <c r="O34" s="71">
        <v>75</v>
      </c>
      <c r="P34" s="68">
        <f t="shared" si="4"/>
        <v>85.00000000000001</v>
      </c>
      <c r="Q34" s="71">
        <v>85</v>
      </c>
    </row>
    <row r="35" spans="3:21" ht="12.75">
      <c r="C35" s="47" t="s">
        <v>85</v>
      </c>
      <c r="D35" s="56" t="s">
        <v>86</v>
      </c>
      <c r="E35" s="15">
        <v>102</v>
      </c>
      <c r="F35" s="15">
        <v>110</v>
      </c>
      <c r="G35" s="15">
        <v>125</v>
      </c>
      <c r="H35" s="16">
        <v>0.022785714285714288</v>
      </c>
      <c r="I35" s="17">
        <f t="shared" si="1"/>
        <v>7.6787857142857145</v>
      </c>
      <c r="J35" s="18"/>
      <c r="K35" s="48" t="s">
        <v>87</v>
      </c>
      <c r="L35" s="69">
        <f t="shared" si="2"/>
        <v>102</v>
      </c>
      <c r="M35" s="40">
        <v>102</v>
      </c>
      <c r="N35" s="70">
        <f t="shared" si="3"/>
        <v>110</v>
      </c>
      <c r="O35" s="71">
        <v>110</v>
      </c>
      <c r="P35" s="68">
        <f t="shared" si="4"/>
        <v>125</v>
      </c>
      <c r="Q35" s="71">
        <v>125</v>
      </c>
      <c r="S35" s="57"/>
      <c r="T35" s="57"/>
      <c r="U35" s="57"/>
    </row>
    <row r="36" spans="3:22" ht="12.75">
      <c r="C36" s="47" t="s">
        <v>88</v>
      </c>
      <c r="D36" s="56" t="s">
        <v>89</v>
      </c>
      <c r="E36" s="15">
        <v>13</v>
      </c>
      <c r="F36" s="15">
        <v>13</v>
      </c>
      <c r="G36" s="15">
        <v>0</v>
      </c>
      <c r="H36" s="16">
        <v>0.04292857142857143</v>
      </c>
      <c r="I36" s="17">
        <f t="shared" si="1"/>
        <v>1.116142857142857</v>
      </c>
      <c r="J36" s="18"/>
      <c r="K36" s="48" t="s">
        <v>90</v>
      </c>
      <c r="L36" s="69">
        <f t="shared" si="2"/>
        <v>13</v>
      </c>
      <c r="M36" s="40">
        <v>13</v>
      </c>
      <c r="N36" s="70">
        <f t="shared" si="3"/>
        <v>13</v>
      </c>
      <c r="O36" s="71">
        <v>13</v>
      </c>
      <c r="P36" s="68">
        <f t="shared" si="4"/>
        <v>15</v>
      </c>
      <c r="Q36" s="71">
        <v>15</v>
      </c>
      <c r="R36" s="57"/>
      <c r="S36" s="57"/>
      <c r="V36" s="72"/>
    </row>
    <row r="37" spans="3:22" ht="12.75">
      <c r="C37" s="58"/>
      <c r="D37" s="59">
        <f>SUM(E37:G37)</f>
        <v>16.420642857143434</v>
      </c>
      <c r="E37" s="60">
        <f>E31*H31+E32*H32+E33*H33+E34*H34+E35*H35+E36*H36</f>
        <v>6.278642857142863</v>
      </c>
      <c r="F37" s="60">
        <f>F31*H31+F32*H32+F33*H33+F34*H34+F35*H35+F36*H36</f>
        <v>5.54200000000057</v>
      </c>
      <c r="G37" s="60">
        <f>G31*H31+G32*H32+G33*H33+G34*H34+G35*H35+G36*H36</f>
        <v>4.6000000000000005</v>
      </c>
      <c r="H37" s="31"/>
      <c r="I37" s="34">
        <f>SUM(I31:I36)</f>
        <v>16.420642857143434</v>
      </c>
      <c r="J37" s="18"/>
      <c r="R37" s="57"/>
      <c r="S37" s="57"/>
      <c r="V37" s="72"/>
    </row>
    <row r="38" spans="3:22" ht="12.75">
      <c r="C38" s="47" t="s">
        <v>91</v>
      </c>
      <c r="D38" s="56" t="s">
        <v>92</v>
      </c>
      <c r="E38" s="15">
        <v>0</v>
      </c>
      <c r="F38" s="15">
        <v>0</v>
      </c>
      <c r="G38" s="15">
        <v>0</v>
      </c>
      <c r="H38" s="16">
        <v>0.040357142857142855</v>
      </c>
      <c r="I38" s="17">
        <f aca="true" t="shared" si="5" ref="I38:I43">SUM(E38:G38)*H38</f>
        <v>0</v>
      </c>
      <c r="J38" s="18"/>
      <c r="L38" s="61" t="s">
        <v>93</v>
      </c>
      <c r="M38" s="61"/>
      <c r="N38" s="61"/>
      <c r="O38" s="61"/>
      <c r="P38" s="61"/>
      <c r="Q38" s="61"/>
      <c r="R38" s="57"/>
      <c r="S38" s="57"/>
      <c r="V38" s="72"/>
    </row>
    <row r="39" spans="3:21" ht="12.75">
      <c r="C39" s="47" t="s">
        <v>94</v>
      </c>
      <c r="D39" s="56" t="s">
        <v>95</v>
      </c>
      <c r="E39" s="15">
        <v>0</v>
      </c>
      <c r="F39" s="15">
        <v>70</v>
      </c>
      <c r="G39" s="15">
        <v>90</v>
      </c>
      <c r="H39" s="16">
        <v>0</v>
      </c>
      <c r="I39" s="17">
        <f t="shared" si="5"/>
        <v>0</v>
      </c>
      <c r="J39" s="18"/>
      <c r="K39" s="18"/>
      <c r="L39" s="61" t="s">
        <v>0</v>
      </c>
      <c r="M39" s="61"/>
      <c r="N39" s="61" t="s">
        <v>1</v>
      </c>
      <c r="O39" s="61"/>
      <c r="P39" s="61" t="s">
        <v>2</v>
      </c>
      <c r="Q39" s="61"/>
      <c r="R39" s="73" t="s">
        <v>96</v>
      </c>
      <c r="S39" s="73"/>
      <c r="T39" s="73" t="s">
        <v>26</v>
      </c>
      <c r="U39" s="73"/>
    </row>
    <row r="40" spans="3:22" ht="12.75">
      <c r="C40" s="47" t="s">
        <v>97</v>
      </c>
      <c r="D40" s="56" t="s">
        <v>98</v>
      </c>
      <c r="E40" s="15">
        <v>0</v>
      </c>
      <c r="F40" s="15">
        <v>0</v>
      </c>
      <c r="G40" s="15">
        <v>14.999999999999947</v>
      </c>
      <c r="H40" s="16">
        <v>0.031785714285714285</v>
      </c>
      <c r="I40" s="17">
        <f t="shared" si="5"/>
        <v>0.4767857142857126</v>
      </c>
      <c r="J40" s="18"/>
      <c r="K40" s="4" t="s">
        <v>24</v>
      </c>
      <c r="L40" s="4" t="s">
        <v>99</v>
      </c>
      <c r="M40" s="4" t="s">
        <v>100</v>
      </c>
      <c r="N40" s="4" t="s">
        <v>99</v>
      </c>
      <c r="O40" s="4" t="s">
        <v>100</v>
      </c>
      <c r="P40" s="4" t="s">
        <v>99</v>
      </c>
      <c r="Q40" s="4" t="s">
        <v>100</v>
      </c>
      <c r="R40" s="4" t="s">
        <v>99</v>
      </c>
      <c r="S40" s="4" t="s">
        <v>101</v>
      </c>
      <c r="T40" s="4" t="s">
        <v>99</v>
      </c>
      <c r="U40" s="4" t="s">
        <v>101</v>
      </c>
      <c r="V40" s="13"/>
    </row>
    <row r="41" spans="3:21" ht="12.75">
      <c r="C41" s="47" t="s">
        <v>102</v>
      </c>
      <c r="D41" s="56" t="s">
        <v>103</v>
      </c>
      <c r="E41" s="15">
        <v>0</v>
      </c>
      <c r="F41" s="15">
        <v>0</v>
      </c>
      <c r="G41" s="15">
        <v>0</v>
      </c>
      <c r="H41" s="16">
        <v>0.023</v>
      </c>
      <c r="I41" s="17">
        <f t="shared" si="5"/>
        <v>0</v>
      </c>
      <c r="J41" s="18"/>
      <c r="K41" s="74" t="s">
        <v>45</v>
      </c>
      <c r="L41" s="75">
        <v>-2.4781384930040864E-16</v>
      </c>
      <c r="M41" s="75">
        <v>3.5272710678162494E-16</v>
      </c>
      <c r="N41" s="75">
        <v>1</v>
      </c>
      <c r="O41" s="75">
        <v>0</v>
      </c>
      <c r="P41" s="75">
        <v>1</v>
      </c>
      <c r="Q41" s="75">
        <v>1</v>
      </c>
      <c r="R41" s="16">
        <v>75</v>
      </c>
      <c r="S41" s="16">
        <v>30</v>
      </c>
      <c r="T41" s="16">
        <v>70</v>
      </c>
      <c r="U41" s="16">
        <v>50</v>
      </c>
    </row>
    <row r="42" spans="3:21" ht="12.75">
      <c r="C42" s="47" t="s">
        <v>104</v>
      </c>
      <c r="D42" s="56" t="s">
        <v>105</v>
      </c>
      <c r="E42" s="15">
        <v>0</v>
      </c>
      <c r="F42" s="15">
        <v>0</v>
      </c>
      <c r="G42" s="15">
        <v>0</v>
      </c>
      <c r="H42" s="16">
        <v>0.06192857142857143</v>
      </c>
      <c r="I42" s="17">
        <f t="shared" si="5"/>
        <v>0</v>
      </c>
      <c r="J42" s="18"/>
      <c r="K42" s="74" t="s">
        <v>48</v>
      </c>
      <c r="L42" s="75">
        <v>0</v>
      </c>
      <c r="M42" s="75">
        <v>0</v>
      </c>
      <c r="N42" s="75">
        <v>5.134674629253854E-17</v>
      </c>
      <c r="O42" s="75">
        <v>-5.337382231149612E-16</v>
      </c>
      <c r="P42" s="75">
        <v>2.3591170733455177E-17</v>
      </c>
      <c r="Q42" s="75">
        <v>0</v>
      </c>
      <c r="R42" s="16">
        <v>70</v>
      </c>
      <c r="S42" s="16">
        <v>27</v>
      </c>
      <c r="T42" s="16">
        <v>70</v>
      </c>
      <c r="U42" s="16">
        <v>50</v>
      </c>
    </row>
    <row r="43" spans="3:21" ht="12.75">
      <c r="C43" s="47" t="s">
        <v>106</v>
      </c>
      <c r="D43" s="56" t="s">
        <v>107</v>
      </c>
      <c r="E43" s="15">
        <v>0</v>
      </c>
      <c r="F43" s="15">
        <v>0</v>
      </c>
      <c r="G43" s="15">
        <v>15</v>
      </c>
      <c r="H43" s="16">
        <v>0.0015</v>
      </c>
      <c r="I43" s="17">
        <f t="shared" si="5"/>
        <v>0.0225</v>
      </c>
      <c r="J43" s="18"/>
      <c r="K43" s="74" t="s">
        <v>51</v>
      </c>
      <c r="L43" s="75">
        <v>0</v>
      </c>
      <c r="M43" s="75">
        <v>0</v>
      </c>
      <c r="N43" s="75">
        <v>0</v>
      </c>
      <c r="O43" s="75">
        <v>0</v>
      </c>
      <c r="P43" s="75">
        <v>6.162975822039155E-33</v>
      </c>
      <c r="Q43" s="75">
        <v>0</v>
      </c>
      <c r="R43" s="16">
        <v>68</v>
      </c>
      <c r="S43" s="16">
        <v>25</v>
      </c>
      <c r="T43" s="16">
        <v>70</v>
      </c>
      <c r="U43" s="16">
        <v>50</v>
      </c>
    </row>
    <row r="44" spans="3:21" ht="12.75">
      <c r="C44" s="58"/>
      <c r="D44" s="59">
        <f>SUM(E44:G44)</f>
        <v>0.4992857142857126</v>
      </c>
      <c r="E44" s="60">
        <f>E38*H38+E39*H39+E40*H40+E41*H41+E42*H42+E43*H43</f>
        <v>0</v>
      </c>
      <c r="F44" s="60">
        <f>F38*H38+F39*H39+F40*H40+F41*H41+F42*H42+F43*H43</f>
        <v>0</v>
      </c>
      <c r="G44" s="60">
        <f>G38*H38+G39*H39+G40*H40+G41*H41+G42*H42+G43*H43</f>
        <v>0.4992857142857126</v>
      </c>
      <c r="H44" s="31"/>
      <c r="I44" s="34">
        <f>SUM(I38:I43)</f>
        <v>0.4992857142857126</v>
      </c>
      <c r="J44" s="18"/>
      <c r="R44" s="76"/>
      <c r="S44" s="57"/>
      <c r="T44" s="57"/>
      <c r="U44" s="57"/>
    </row>
    <row r="45" spans="3:21" ht="12.75">
      <c r="C45" s="47" t="s">
        <v>108</v>
      </c>
      <c r="D45" s="56" t="s">
        <v>109</v>
      </c>
      <c r="E45" s="15">
        <v>0</v>
      </c>
      <c r="F45" s="15">
        <v>0</v>
      </c>
      <c r="G45" s="15">
        <v>0</v>
      </c>
      <c r="H45" s="16">
        <v>0.010571428571428572</v>
      </c>
      <c r="I45" s="17">
        <f aca="true" t="shared" si="6" ref="I45:I50">SUM(E45:G45)*H45</f>
        <v>0</v>
      </c>
      <c r="J45" s="18"/>
      <c r="K45" s="74" t="s">
        <v>45</v>
      </c>
      <c r="L45" s="77">
        <f aca="true" t="shared" si="7" ref="L45:M47">L41*R41</f>
        <v>-1.8586038697530647E-14</v>
      </c>
      <c r="M45" s="77">
        <f t="shared" si="7"/>
        <v>1.0581813203448748E-14</v>
      </c>
      <c r="N45" s="77">
        <f aca="true" t="shared" si="8" ref="N45:O47">(N41-L41)*R41</f>
        <v>75.00000000000001</v>
      </c>
      <c r="O45" s="77">
        <f t="shared" si="8"/>
        <v>-1.0581813203448748E-14</v>
      </c>
      <c r="P45" s="77">
        <f aca="true" t="shared" si="9" ref="P45:Q47">(P41-N41)*R41</f>
        <v>0</v>
      </c>
      <c r="Q45" s="77">
        <f t="shared" si="9"/>
        <v>30</v>
      </c>
      <c r="S45" s="57"/>
      <c r="T45" s="57"/>
      <c r="U45" s="72"/>
    </row>
    <row r="46" spans="3:20" ht="12.75">
      <c r="C46" s="47" t="s">
        <v>110</v>
      </c>
      <c r="D46" s="56" t="s">
        <v>111</v>
      </c>
      <c r="E46" s="15">
        <v>0</v>
      </c>
      <c r="F46" s="15">
        <v>0</v>
      </c>
      <c r="G46" s="15">
        <v>0</v>
      </c>
      <c r="H46" s="16">
        <v>0.03428571428571429</v>
      </c>
      <c r="I46" s="17">
        <f t="shared" si="6"/>
        <v>0</v>
      </c>
      <c r="J46" s="18"/>
      <c r="K46" s="74" t="s">
        <v>48</v>
      </c>
      <c r="L46" s="77">
        <f t="shared" si="7"/>
        <v>0</v>
      </c>
      <c r="M46" s="77">
        <f t="shared" si="7"/>
        <v>0</v>
      </c>
      <c r="N46" s="77">
        <f t="shared" si="8"/>
        <v>3.594272240477698E-15</v>
      </c>
      <c r="O46" s="77">
        <f t="shared" si="8"/>
        <v>-1.4410932024103952E-14</v>
      </c>
      <c r="P46" s="77">
        <f t="shared" si="9"/>
        <v>-1.9428902891358355E-15</v>
      </c>
      <c r="Q46" s="77">
        <f t="shared" si="9"/>
        <v>1.4410932024103952E-14</v>
      </c>
      <c r="R46" s="76"/>
      <c r="S46" s="57"/>
      <c r="T46" s="57"/>
    </row>
    <row r="47" spans="3:20" ht="12.75">
      <c r="C47" s="47" t="s">
        <v>112</v>
      </c>
      <c r="D47" s="56" t="s">
        <v>113</v>
      </c>
      <c r="E47" s="15">
        <v>0</v>
      </c>
      <c r="F47" s="15">
        <v>0</v>
      </c>
      <c r="G47" s="15">
        <v>0</v>
      </c>
      <c r="H47" s="16">
        <v>0.04114285714285715</v>
      </c>
      <c r="I47" s="17">
        <f t="shared" si="6"/>
        <v>0</v>
      </c>
      <c r="J47" s="18"/>
      <c r="K47" s="74" t="s">
        <v>51</v>
      </c>
      <c r="L47" s="77">
        <f t="shared" si="7"/>
        <v>0</v>
      </c>
      <c r="M47" s="77">
        <f t="shared" si="7"/>
        <v>0</v>
      </c>
      <c r="N47" s="77">
        <f t="shared" si="8"/>
        <v>0</v>
      </c>
      <c r="O47" s="77">
        <f t="shared" si="8"/>
        <v>0</v>
      </c>
      <c r="P47" s="77">
        <f t="shared" si="9"/>
        <v>4.190823558986625E-31</v>
      </c>
      <c r="Q47" s="78">
        <f t="shared" si="9"/>
        <v>0</v>
      </c>
      <c r="R47" s="47" t="s">
        <v>114</v>
      </c>
      <c r="S47" s="57"/>
      <c r="T47" s="57"/>
    </row>
    <row r="48" spans="3:20" ht="12.75">
      <c r="C48" s="47" t="s">
        <v>115</v>
      </c>
      <c r="D48" s="56" t="s">
        <v>116</v>
      </c>
      <c r="E48" s="15">
        <v>0</v>
      </c>
      <c r="F48" s="15">
        <v>0</v>
      </c>
      <c r="G48" s="15">
        <v>1.0832789584237498E-14</v>
      </c>
      <c r="H48" s="16">
        <v>0.011285714285714286</v>
      </c>
      <c r="I48" s="17">
        <f t="shared" si="6"/>
        <v>1.2225576816496605E-16</v>
      </c>
      <c r="J48" s="18"/>
      <c r="K48" s="79" t="s">
        <v>117</v>
      </c>
      <c r="L48" s="80">
        <f>SUM(L45:L47)/O26</f>
        <v>-1.689639881593695E-14</v>
      </c>
      <c r="M48" s="80">
        <f>SUM(M45:M47)/O26</f>
        <v>9.619830184953406E-15</v>
      </c>
      <c r="N48" s="80">
        <f>SUM(N45:N47)/O26/O26</f>
        <v>61.98347107438016</v>
      </c>
      <c r="O48" s="80">
        <f>SUM(O45:O47)/O26/O26</f>
        <v>-2.0655161345084872E-14</v>
      </c>
      <c r="P48" s="80">
        <f>SUM(P45:P47)/O26/O26/O26</f>
        <v>-1.4597222307556985E-15</v>
      </c>
      <c r="Q48" s="81">
        <f>SUM(Q45:Q47)/O26/O26/O26</f>
        <v>22.539444027047338</v>
      </c>
      <c r="R48" s="82">
        <f>SUM(L48:Q48)</f>
        <v>84.52291510142747</v>
      </c>
      <c r="T48" s="57"/>
    </row>
    <row r="49" spans="3:22" ht="12.75">
      <c r="C49" s="47" t="s">
        <v>118</v>
      </c>
      <c r="D49" s="56" t="s">
        <v>119</v>
      </c>
      <c r="E49" s="15">
        <v>0</v>
      </c>
      <c r="F49" s="15">
        <v>0</v>
      </c>
      <c r="G49" s="15">
        <v>0</v>
      </c>
      <c r="H49" s="16">
        <v>0.044571428571428574</v>
      </c>
      <c r="I49" s="17">
        <f t="shared" si="6"/>
        <v>0</v>
      </c>
      <c r="J49" s="18"/>
      <c r="V49" s="57"/>
    </row>
    <row r="50" spans="3:22" ht="12.75">
      <c r="C50" s="47" t="s">
        <v>120</v>
      </c>
      <c r="D50" s="56" t="s">
        <v>121</v>
      </c>
      <c r="E50" s="15">
        <v>0</v>
      </c>
      <c r="F50" s="15">
        <v>0</v>
      </c>
      <c r="G50" s="15">
        <v>0</v>
      </c>
      <c r="H50" s="16">
        <v>0.03578571428571429</v>
      </c>
      <c r="I50" s="17">
        <f t="shared" si="6"/>
        <v>0</v>
      </c>
      <c r="J50" s="18"/>
      <c r="V50" s="57"/>
    </row>
    <row r="51" spans="3:22" ht="12.75">
      <c r="C51" s="58"/>
      <c r="D51" s="59">
        <f>SUM(E51:G51)</f>
        <v>1.2225576816496605E-16</v>
      </c>
      <c r="E51" s="60">
        <f>E45*H45+E46*H46+E47*H47+E48*H48+E49*H49+E50*H50</f>
        <v>0</v>
      </c>
      <c r="F51" s="60">
        <f>F45*H45+F46*H46+F47*H47+F48*H48+F49*H49+F50*H50</f>
        <v>0</v>
      </c>
      <c r="G51" s="60">
        <f>G45*H45+G46*H46+G47*H47+G48*H48+G49*H49+G50*H50</f>
        <v>1.2225576816496605E-16</v>
      </c>
      <c r="H51" s="31"/>
      <c r="I51" s="34">
        <f>SUM(I45:I50)</f>
        <v>1.2225576816496605E-16</v>
      </c>
      <c r="J51" s="18"/>
      <c r="V51" s="57"/>
    </row>
    <row r="52" spans="3:22" ht="12.75">
      <c r="C52" s="47" t="s">
        <v>122</v>
      </c>
      <c r="D52" s="56" t="s">
        <v>123</v>
      </c>
      <c r="E52" s="15">
        <v>0</v>
      </c>
      <c r="F52" s="15">
        <v>0</v>
      </c>
      <c r="G52" s="15">
        <v>0</v>
      </c>
      <c r="H52" s="16">
        <v>0.06707142857142857</v>
      </c>
      <c r="I52" s="17">
        <f aca="true" t="shared" si="10" ref="I52:I57">SUM(E52:G52)*H52</f>
        <v>0</v>
      </c>
      <c r="J52" s="18"/>
      <c r="V52" s="57"/>
    </row>
    <row r="53" spans="3:23" ht="12.75">
      <c r="C53" s="47" t="s">
        <v>124</v>
      </c>
      <c r="D53" s="56" t="s">
        <v>125</v>
      </c>
      <c r="E53" s="15">
        <v>0</v>
      </c>
      <c r="F53" s="15">
        <v>0</v>
      </c>
      <c r="G53" s="15">
        <v>0</v>
      </c>
      <c r="H53" s="16">
        <v>0.064</v>
      </c>
      <c r="I53" s="17">
        <f t="shared" si="10"/>
        <v>0</v>
      </c>
      <c r="J53" s="18"/>
      <c r="V53" s="57"/>
      <c r="W53" s="57"/>
    </row>
    <row r="54" spans="3:23" ht="12.75">
      <c r="C54" s="47" t="s">
        <v>126</v>
      </c>
      <c r="D54" s="56" t="s">
        <v>127</v>
      </c>
      <c r="E54" s="15">
        <v>0</v>
      </c>
      <c r="F54" s="15">
        <v>0</v>
      </c>
      <c r="G54" s="15">
        <v>0</v>
      </c>
      <c r="H54" s="16">
        <v>0.039714285714285716</v>
      </c>
      <c r="I54" s="17">
        <f t="shared" si="10"/>
        <v>0</v>
      </c>
      <c r="J54" s="18"/>
      <c r="T54" s="57"/>
      <c r="V54" s="57"/>
      <c r="W54" s="57"/>
    </row>
    <row r="55" spans="3:23" ht="12.75">
      <c r="C55" s="47" t="s">
        <v>128</v>
      </c>
      <c r="D55" s="56" t="s">
        <v>129</v>
      </c>
      <c r="E55" s="15">
        <v>0</v>
      </c>
      <c r="F55" s="15">
        <v>0</v>
      </c>
      <c r="G55" s="15">
        <v>0</v>
      </c>
      <c r="H55" s="16">
        <v>0.05978571428571429</v>
      </c>
      <c r="I55" s="17">
        <f t="shared" si="10"/>
        <v>0</v>
      </c>
      <c r="J55" s="18"/>
      <c r="T55" s="57"/>
      <c r="V55" s="57"/>
      <c r="W55" s="57"/>
    </row>
    <row r="56" spans="3:23" ht="12.75">
      <c r="C56" s="47" t="s">
        <v>130</v>
      </c>
      <c r="D56" s="56" t="s">
        <v>131</v>
      </c>
      <c r="E56" s="15">
        <v>0</v>
      </c>
      <c r="F56" s="15">
        <v>0</v>
      </c>
      <c r="G56" s="15">
        <v>0</v>
      </c>
      <c r="H56" s="16">
        <v>0.023785714285714285</v>
      </c>
      <c r="I56" s="17">
        <f t="shared" si="10"/>
        <v>0</v>
      </c>
      <c r="J56" s="18"/>
      <c r="T56" s="57"/>
      <c r="V56" s="57"/>
      <c r="W56" s="57"/>
    </row>
    <row r="57" spans="3:23" ht="12.75">
      <c r="C57" s="47" t="s">
        <v>132</v>
      </c>
      <c r="D57" s="56" t="s">
        <v>133</v>
      </c>
      <c r="E57" s="15">
        <v>0</v>
      </c>
      <c r="F57" s="15">
        <v>0</v>
      </c>
      <c r="G57" s="15">
        <v>0</v>
      </c>
      <c r="H57" s="16">
        <v>0.0655</v>
      </c>
      <c r="I57" s="17">
        <f t="shared" si="10"/>
        <v>0</v>
      </c>
      <c r="J57" s="18"/>
      <c r="K57" s="18"/>
      <c r="M57" s="3"/>
      <c r="N57" s="3"/>
      <c r="O57" s="2"/>
      <c r="P57" s="76"/>
      <c r="Q57" s="76"/>
      <c r="R57" s="76"/>
      <c r="S57" s="57"/>
      <c r="T57" s="57"/>
      <c r="U57" s="57"/>
      <c r="V57" s="57"/>
      <c r="W57" s="57"/>
    </row>
    <row r="58" spans="4:23" ht="12.75">
      <c r="D58" s="83">
        <f>SUM(E58:G58)</f>
        <v>0</v>
      </c>
      <c r="E58" s="84">
        <f>E52*H52+E53*H53+E54*H54+E55*H55+E56*H56+E57*H57</f>
        <v>0</v>
      </c>
      <c r="F58" s="84">
        <f>F52*H52+F53*H53+F54*H54+F55*H55+F56*H56+F57*H57</f>
        <v>0</v>
      </c>
      <c r="G58" s="84">
        <f>G52*H52+G53*H53+G54*H54+G55*H55+G56*H56+G57*H57</f>
        <v>0</v>
      </c>
      <c r="H58" s="72"/>
      <c r="I58" s="85">
        <f>SUM(I52:I57)</f>
        <v>0</v>
      </c>
      <c r="J58" s="18"/>
      <c r="K58" s="18"/>
      <c r="M58" s="3"/>
      <c r="N58" s="3"/>
      <c r="O58" s="2"/>
      <c r="P58" s="76"/>
      <c r="Q58" s="76"/>
      <c r="R58" s="86"/>
      <c r="S58" s="87"/>
      <c r="T58" s="57"/>
      <c r="U58" s="57"/>
      <c r="V58" s="57"/>
      <c r="W58" s="57"/>
    </row>
    <row r="59" spans="3:23" ht="12.75">
      <c r="C59" s="88" t="s">
        <v>134</v>
      </c>
      <c r="D59" s="88"/>
      <c r="E59" s="89">
        <f>E10+E16+E30+E37+E44+E51+E58+E22</f>
        <v>9.936251684867393</v>
      </c>
      <c r="F59" s="89">
        <f>F10+F16+F30+F37+F44+F51+F58+F22</f>
        <v>7.835405249925331</v>
      </c>
      <c r="G59" s="90">
        <f>G10+G16+G30+G37+G44+G51+G58+G22</f>
        <v>7.636104992811299</v>
      </c>
      <c r="H59" s="79" t="s">
        <v>135</v>
      </c>
      <c r="I59" s="91">
        <f>E59+F59+G59</f>
        <v>25.40776192760402</v>
      </c>
      <c r="J59" s="18"/>
      <c r="K59" s="18"/>
      <c r="M59" s="3"/>
      <c r="N59" s="3"/>
      <c r="O59" s="2"/>
      <c r="P59" s="76"/>
      <c r="Q59" s="76"/>
      <c r="R59" s="86"/>
      <c r="S59" s="87"/>
      <c r="T59" s="57"/>
      <c r="U59" s="57"/>
      <c r="V59" s="57"/>
      <c r="W59" s="57"/>
    </row>
    <row r="60" spans="3:23" ht="12.75">
      <c r="C60" s="88" t="s">
        <v>136</v>
      </c>
      <c r="D60" s="88"/>
      <c r="E60" s="89">
        <f>E59/O26</f>
        <v>9.032956077152175</v>
      </c>
      <c r="F60" s="89">
        <f>F59/O26/O26</f>
        <v>6.475541528863909</v>
      </c>
      <c r="G60" s="90">
        <f>G59/O26/O26/O26</f>
        <v>5.737118702337564</v>
      </c>
      <c r="H60" s="79" t="s">
        <v>135</v>
      </c>
      <c r="I60" s="91">
        <f>E60+F60+G60</f>
        <v>21.245616308353647</v>
      </c>
      <c r="J60" s="18"/>
      <c r="K60" s="18"/>
      <c r="M60" s="3"/>
      <c r="N60" s="3"/>
      <c r="O60" s="2"/>
      <c r="P60" s="76"/>
      <c r="Q60" s="76"/>
      <c r="R60" s="86"/>
      <c r="S60" s="87"/>
      <c r="T60" s="57"/>
      <c r="U60" s="57"/>
      <c r="V60" s="57"/>
      <c r="W60" s="57"/>
    </row>
    <row r="61" spans="3:23" ht="12.75">
      <c r="C61" s="88" t="s">
        <v>137</v>
      </c>
      <c r="D61" s="88"/>
      <c r="E61" s="92">
        <f>(1-POWER(1/O26,18))/(1-1/O26)*G59/O26/O26/O26</f>
        <v>51.7577222246657</v>
      </c>
      <c r="F61" s="87"/>
      <c r="H61" s="72"/>
      <c r="I61" s="18"/>
      <c r="J61" s="18"/>
      <c r="K61" s="18"/>
      <c r="M61" s="3"/>
      <c r="N61" s="3"/>
      <c r="O61" s="2"/>
      <c r="P61" s="76"/>
      <c r="Q61" s="76"/>
      <c r="R61" s="86"/>
      <c r="S61" s="87"/>
      <c r="T61" s="57"/>
      <c r="U61" s="57"/>
      <c r="V61" s="57"/>
      <c r="W61" s="57"/>
    </row>
    <row r="62" spans="4:23" ht="12.75">
      <c r="D62" s="86"/>
      <c r="E62" s="87"/>
      <c r="J62" s="18"/>
      <c r="K62" s="18"/>
      <c r="M62" s="3"/>
      <c r="N62" s="3"/>
      <c r="O62" s="2"/>
      <c r="P62" s="76"/>
      <c r="Q62" s="76"/>
      <c r="R62" s="86"/>
      <c r="S62" s="87"/>
      <c r="T62" s="57"/>
      <c r="U62" s="57"/>
      <c r="V62" s="57"/>
      <c r="W62" s="57"/>
    </row>
    <row r="63" spans="3:23" ht="15.75">
      <c r="C63" s="93" t="s">
        <v>138</v>
      </c>
      <c r="D63" s="94"/>
      <c r="E63" s="94"/>
      <c r="F63" s="94"/>
      <c r="G63" s="94"/>
      <c r="H63" s="95"/>
      <c r="I63" s="96">
        <f>E60+F60+G60+E61</f>
        <v>73.00333853301935</v>
      </c>
      <c r="J63" s="97" t="s">
        <v>139</v>
      </c>
      <c r="K63" s="3"/>
      <c r="L63" s="86"/>
      <c r="M63" s="98"/>
      <c r="N63" s="98"/>
      <c r="O63" s="98"/>
      <c r="P63" s="98"/>
      <c r="Q63" s="13"/>
      <c r="R63" s="86"/>
      <c r="S63" s="76"/>
      <c r="T63" s="57"/>
      <c r="U63" s="57"/>
      <c r="V63" s="57"/>
      <c r="W63" s="57"/>
    </row>
    <row r="64" spans="4:23" ht="12.75">
      <c r="D64" s="18"/>
      <c r="E64" s="18"/>
      <c r="F64" s="18"/>
      <c r="G64" s="18"/>
      <c r="K64" s="3"/>
      <c r="L64" s="86"/>
      <c r="M64" s="72"/>
      <c r="N64" s="72"/>
      <c r="O64" s="72"/>
      <c r="P64" s="72"/>
      <c r="Q64" s="72"/>
      <c r="R64" s="86"/>
      <c r="S64" s="76"/>
      <c r="T64" s="57"/>
      <c r="U64" s="57"/>
      <c r="V64" s="57"/>
      <c r="W64" s="57"/>
    </row>
  </sheetData>
  <mergeCells count="25">
    <mergeCell ref="C61:D61"/>
    <mergeCell ref="C63:H63"/>
    <mergeCell ref="M63:P63"/>
    <mergeCell ref="R39:S39"/>
    <mergeCell ref="T39:U39"/>
    <mergeCell ref="C59:D59"/>
    <mergeCell ref="C60:D60"/>
    <mergeCell ref="L38:Q38"/>
    <mergeCell ref="L39:M39"/>
    <mergeCell ref="N39:O39"/>
    <mergeCell ref="P39:Q39"/>
    <mergeCell ref="E23:G23"/>
    <mergeCell ref="K24:L24"/>
    <mergeCell ref="L29:Q29"/>
    <mergeCell ref="L30:M30"/>
    <mergeCell ref="N30:O30"/>
    <mergeCell ref="P30:Q30"/>
    <mergeCell ref="K7:P7"/>
    <mergeCell ref="L10:N10"/>
    <mergeCell ref="O10:Q10"/>
    <mergeCell ref="R10:T10"/>
    <mergeCell ref="E4:G4"/>
    <mergeCell ref="K4:R4"/>
    <mergeCell ref="K5:P5"/>
    <mergeCell ref="K6:P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 Tretyakov</dc:creator>
  <cp:keywords/>
  <dc:description/>
  <cp:lastModifiedBy>Maxim Tretyakov</cp:lastModifiedBy>
  <dcterms:created xsi:type="dcterms:W3CDTF">2003-12-22T10:49:40Z</dcterms:created>
  <dcterms:modified xsi:type="dcterms:W3CDTF">2003-12-22T10:52:04Z</dcterms:modified>
  <cp:category/>
  <cp:version/>
  <cp:contentType/>
  <cp:contentStatus/>
</cp:coreProperties>
</file>